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6440"/>
  </bookViews>
  <sheets>
    <sheet name="Foglio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"/>
  <c r="P43"/>
  <c r="P41"/>
  <c r="Q33"/>
  <c r="Q34"/>
  <c r="Q32"/>
  <c r="F15"/>
  <c r="F16"/>
  <c r="F14"/>
  <c r="F41"/>
  <c r="F42"/>
  <c r="F43"/>
  <c r="I41"/>
  <c r="I42"/>
  <c r="I43"/>
  <c r="B25"/>
  <c r="C25"/>
  <c r="C34" s="1"/>
  <c r="C43" s="1"/>
  <c r="C52" s="1"/>
  <c r="D25"/>
  <c r="D34" s="1"/>
  <c r="B23"/>
  <c r="C23"/>
  <c r="C32" s="1"/>
  <c r="C41" s="1"/>
  <c r="C50" s="1"/>
  <c r="D23"/>
  <c r="D32" s="1"/>
  <c r="D41" s="1"/>
  <c r="B24"/>
  <c r="C24"/>
  <c r="C33" s="1"/>
  <c r="C42" s="1"/>
  <c r="C51" s="1"/>
  <c r="D24"/>
  <c r="D33" s="1"/>
  <c r="D42" s="1"/>
  <c r="V14"/>
  <c r="V15"/>
  <c r="V16"/>
  <c r="G14"/>
  <c r="H14" s="1"/>
  <c r="G15"/>
  <c r="H15" s="1"/>
  <c r="G16"/>
  <c r="H16" s="1"/>
  <c r="J25" l="1"/>
  <c r="J23"/>
  <c r="D51"/>
  <c r="D50"/>
  <c r="M41"/>
  <c r="D43"/>
  <c r="B32"/>
  <c r="B41" s="1"/>
  <c r="B50" s="1"/>
  <c r="L14"/>
  <c r="J24"/>
  <c r="B33"/>
  <c r="B42" s="1"/>
  <c r="B51" s="1"/>
  <c r="B34"/>
  <c r="B43" s="1"/>
  <c r="B52" s="1"/>
  <c r="J6"/>
  <c r="C6"/>
  <c r="D52" l="1"/>
  <c r="M43"/>
  <c r="J32"/>
  <c r="H41" s="1"/>
  <c r="P14"/>
  <c r="O14"/>
  <c r="K14"/>
  <c r="M14" s="1"/>
  <c r="D6"/>
  <c r="M42" l="1"/>
  <c r="J41"/>
  <c r="K41" s="1"/>
  <c r="E41"/>
  <c r="P15"/>
  <c r="K15"/>
  <c r="J33"/>
  <c r="H42" s="1"/>
  <c r="O15"/>
  <c r="L15"/>
  <c r="S14"/>
  <c r="T14" s="1"/>
  <c r="U14" s="1"/>
  <c r="I32"/>
  <c r="K32" s="1"/>
  <c r="L32" s="1"/>
  <c r="M32" s="1"/>
  <c r="N34"/>
  <c r="N33"/>
  <c r="I34"/>
  <c r="K34" s="1"/>
  <c r="L34" s="1"/>
  <c r="M34" s="1"/>
  <c r="N32"/>
  <c r="I33"/>
  <c r="K33" s="1"/>
  <c r="L33" s="1"/>
  <c r="M33" s="1"/>
  <c r="M15" l="1"/>
  <c r="W14"/>
  <c r="Y14"/>
  <c r="N41"/>
  <c r="F23" s="1"/>
  <c r="E42"/>
  <c r="J42"/>
  <c r="K42" s="1"/>
  <c r="O16"/>
  <c r="P16"/>
  <c r="J34"/>
  <c r="H43" s="1"/>
  <c r="L16"/>
  <c r="K16"/>
  <c r="O32"/>
  <c r="P32" s="1"/>
  <c r="S15"/>
  <c r="T15" s="1"/>
  <c r="U15" s="1"/>
  <c r="O33"/>
  <c r="O34"/>
  <c r="G23" l="1"/>
  <c r="O41"/>
  <c r="S41" s="1"/>
  <c r="R32"/>
  <c r="T32"/>
  <c r="H23"/>
  <c r="I23" s="1"/>
  <c r="N42"/>
  <c r="F24" s="1"/>
  <c r="W15"/>
  <c r="Y15"/>
  <c r="S16"/>
  <c r="J43"/>
  <c r="K43" s="1"/>
  <c r="E43"/>
  <c r="M16"/>
  <c r="P33"/>
  <c r="G24"/>
  <c r="P34"/>
  <c r="G25"/>
  <c r="O42" l="1"/>
  <c r="S42" s="1"/>
  <c r="Q41"/>
  <c r="N43"/>
  <c r="F25" s="1"/>
  <c r="H25" s="1"/>
  <c r="I25" s="1"/>
  <c r="K23"/>
  <c r="M23"/>
  <c r="F50" s="1"/>
  <c r="I50" s="1"/>
  <c r="R33"/>
  <c r="T33"/>
  <c r="R34"/>
  <c r="T34"/>
  <c r="H24"/>
  <c r="I24" s="1"/>
  <c r="E50"/>
  <c r="T16"/>
  <c r="U16" s="1"/>
  <c r="O43" l="1"/>
  <c r="S43" s="1"/>
  <c r="E52" s="1"/>
  <c r="Q42"/>
  <c r="E51"/>
  <c r="H51" s="1"/>
  <c r="K25"/>
  <c r="M25"/>
  <c r="K24"/>
  <c r="M24"/>
  <c r="F51" s="1"/>
  <c r="I51" s="1"/>
  <c r="L50"/>
  <c r="J50"/>
  <c r="H50"/>
  <c r="W16"/>
  <c r="Y16"/>
  <c r="Q43" l="1"/>
  <c r="L51"/>
  <c r="J51"/>
  <c r="F52"/>
  <c r="I52" s="1"/>
  <c r="H52"/>
  <c r="L52" l="1"/>
  <c r="J52"/>
</calcChain>
</file>

<file path=xl/sharedStrings.xml><?xml version="1.0" encoding="utf-8"?>
<sst xmlns="http://schemas.openxmlformats.org/spreadsheetml/2006/main" count="177" uniqueCount="74">
  <si>
    <t>N</t>
  </si>
  <si>
    <r>
      <t>N</t>
    </r>
    <r>
      <rPr>
        <vertAlign val="subscript"/>
        <sz val="11"/>
        <color theme="1"/>
        <rFont val="Calibri"/>
        <family val="2"/>
        <scheme val="minor"/>
      </rPr>
      <t>Ed</t>
    </r>
  </si>
  <si>
    <r>
      <t>f</t>
    </r>
    <r>
      <rPr>
        <vertAlign val="subscript"/>
        <sz val="11"/>
        <color theme="1"/>
        <rFont val="Calibri"/>
        <family val="2"/>
        <scheme val="minor"/>
      </rPr>
      <t>ck</t>
    </r>
  </si>
  <si>
    <t>(C25/30)</t>
  </si>
  <si>
    <t>FC</t>
  </si>
  <si>
    <r>
      <t>f</t>
    </r>
    <r>
      <rPr>
        <vertAlign val="subscript"/>
        <sz val="11"/>
        <color theme="1"/>
        <rFont val="Calibri"/>
        <family val="2"/>
        <scheme val="minor"/>
      </rPr>
      <t>ctk</t>
    </r>
  </si>
  <si>
    <r>
      <t>η</t>
    </r>
    <r>
      <rPr>
        <vertAlign val="subscript"/>
        <sz val="11"/>
        <color theme="1"/>
        <rFont val="Calibri"/>
        <family val="2"/>
      </rPr>
      <t>1</t>
    </r>
  </si>
  <si>
    <r>
      <t>η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</si>
  <si>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γ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</si>
  <si>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γ</t>
    </r>
    <r>
      <rPr>
        <vertAlign val="subscript"/>
        <sz val="11"/>
        <color theme="1"/>
        <rFont val="Calibri"/>
        <family val="2"/>
      </rPr>
      <t>M</t>
    </r>
  </si>
  <si>
    <r>
      <t>γ</t>
    </r>
    <r>
      <rPr>
        <vertAlign val="subscript"/>
        <sz val="11"/>
        <color theme="1"/>
        <rFont val="Calibri"/>
        <family val="2"/>
      </rPr>
      <t>c</t>
    </r>
  </si>
  <si>
    <r>
      <t>f</t>
    </r>
    <r>
      <rPr>
        <vertAlign val="subscript"/>
        <sz val="11"/>
        <color theme="1"/>
        <rFont val="Calibri"/>
        <family val="2"/>
        <scheme val="minor"/>
      </rPr>
      <t>bk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τ</t>
    </r>
    <r>
      <rPr>
        <vertAlign val="subscript"/>
        <sz val="11"/>
        <color theme="1"/>
        <rFont val="Calibri"/>
        <family val="2"/>
        <scheme val="minor"/>
      </rPr>
      <t>Rk</t>
    </r>
  </si>
  <si>
    <r>
      <t>h</t>
    </r>
    <r>
      <rPr>
        <vertAlign val="subscript"/>
        <sz val="11"/>
        <color theme="1"/>
        <rFont val="Calibri"/>
        <family val="2"/>
      </rPr>
      <t>ef</t>
    </r>
  </si>
  <si>
    <r>
      <t>N</t>
    </r>
    <r>
      <rPr>
        <vertAlign val="subscript"/>
        <sz val="11"/>
        <color theme="1"/>
        <rFont val="Calibri"/>
        <family val="2"/>
        <scheme val="minor"/>
      </rPr>
      <t>Rk,p</t>
    </r>
  </si>
  <si>
    <r>
      <t>N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Rk,p</t>
    </r>
  </si>
  <si>
    <t>d</t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</si>
  <si>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s,Np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</si>
  <si>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g,Np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</si>
  <si>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ec,Np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</si>
  <si>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re,Np</t>
    </r>
  </si>
  <si>
    <r>
      <t>N</t>
    </r>
    <r>
      <rPr>
        <vertAlign val="subscript"/>
        <sz val="11"/>
        <color theme="1"/>
        <rFont val="Calibri"/>
        <family val="2"/>
        <scheme val="minor"/>
      </rPr>
      <t>Rk,c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</si>
  <si>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s,N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</si>
  <si>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re,N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</si>
  <si>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ec,N</t>
    </r>
  </si>
  <si>
    <r>
      <t>N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Rk,c</t>
    </r>
  </si>
  <si>
    <r>
      <t>N</t>
    </r>
    <r>
      <rPr>
        <vertAlign val="subscript"/>
        <sz val="11"/>
        <color theme="1"/>
        <rFont val="Calibri"/>
        <family val="2"/>
        <scheme val="minor"/>
      </rPr>
      <t>Rd,p</t>
    </r>
  </si>
  <si>
    <r>
      <t>N</t>
    </r>
    <r>
      <rPr>
        <vertAlign val="subscript"/>
        <sz val="11"/>
        <color theme="1"/>
        <rFont val="Calibri"/>
        <family val="2"/>
        <scheme val="minor"/>
      </rPr>
      <t>Rd,c</t>
    </r>
  </si>
  <si>
    <r>
      <t>V</t>
    </r>
    <r>
      <rPr>
        <vertAlign val="subscript"/>
        <sz val="11"/>
        <color theme="1"/>
        <rFont val="Calibri"/>
        <family val="2"/>
        <scheme val="minor"/>
      </rPr>
      <t>Ed</t>
    </r>
  </si>
  <si>
    <r>
      <t>V</t>
    </r>
    <r>
      <rPr>
        <vertAlign val="subscript"/>
        <sz val="11"/>
        <color theme="1"/>
        <rFont val="Calibri"/>
        <family val="2"/>
        <scheme val="minor"/>
      </rPr>
      <t>Rk,cp</t>
    </r>
  </si>
  <si>
    <r>
      <t>V</t>
    </r>
    <r>
      <rPr>
        <vertAlign val="subscript"/>
        <sz val="11"/>
        <color theme="1"/>
        <rFont val="Calibri"/>
        <family val="2"/>
        <scheme val="minor"/>
      </rPr>
      <t>Rk,cp</t>
    </r>
    <r>
      <rPr>
        <sz val="11"/>
        <color theme="1"/>
        <rFont val="Calibri"/>
        <family val="2"/>
        <scheme val="minor"/>
      </rPr>
      <t xml:space="preserve"> (a)</t>
    </r>
  </si>
  <si>
    <r>
      <t>V</t>
    </r>
    <r>
      <rPr>
        <vertAlign val="subscript"/>
        <sz val="11"/>
        <color theme="1"/>
        <rFont val="Calibri"/>
        <family val="2"/>
        <scheme val="minor"/>
      </rPr>
      <t>Rk,cp</t>
    </r>
    <r>
      <rPr>
        <sz val="11"/>
        <color theme="1"/>
        <rFont val="Calibri"/>
        <family val="2"/>
        <scheme val="minor"/>
      </rPr>
      <t xml:space="preserve"> (b)</t>
    </r>
  </si>
  <si>
    <t>K</t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</si>
  <si>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s,V</t>
    </r>
  </si>
  <si>
    <r>
      <t>V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Rk,c</t>
    </r>
  </si>
  <si>
    <r>
      <rPr>
        <sz val="11"/>
        <color theme="1"/>
        <rFont val="Calibri"/>
        <family val="2"/>
      </rP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</si>
  <si>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Calibri"/>
        <family val="2"/>
      </rPr>
      <t>k</t>
    </r>
    <r>
      <rPr>
        <vertAlign val="subscript"/>
        <sz val="11"/>
        <color theme="1"/>
        <rFont val="Calibri"/>
        <family val="2"/>
        <scheme val="minor"/>
      </rPr>
      <t>1</t>
    </r>
  </si>
  <si>
    <t>α</t>
  </si>
  <si>
    <t>β</t>
  </si>
  <si>
    <r>
      <t>A</t>
    </r>
    <r>
      <rPr>
        <vertAlign val="subscript"/>
        <sz val="11"/>
        <color theme="1"/>
        <rFont val="Calibri"/>
        <family val="2"/>
        <scheme val="minor"/>
      </rPr>
      <t xml:space="preserve">cV </t>
    </r>
    <r>
      <rPr>
        <sz val="11"/>
        <color theme="1"/>
        <rFont val="Calibri"/>
        <family val="2"/>
        <scheme val="minor"/>
      </rPr>
      <t>/ A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cV</t>
    </r>
  </si>
  <si>
    <r>
      <t>A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cV</t>
    </r>
  </si>
  <si>
    <r>
      <t>A</t>
    </r>
    <r>
      <rPr>
        <vertAlign val="subscript"/>
        <sz val="11"/>
        <color theme="1"/>
        <rFont val="Calibri"/>
        <family val="2"/>
        <scheme val="minor"/>
      </rPr>
      <t>cV</t>
    </r>
  </si>
  <si>
    <t>h</t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</si>
  <si>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  <scheme val="minor"/>
      </rPr>
      <t>h,V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</si>
  <si>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V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</si>
  <si>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,V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</si>
  <si>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</rPr>
      <t>ec</t>
    </r>
    <r>
      <rPr>
        <vertAlign val="subscript"/>
        <sz val="11"/>
        <color theme="1"/>
        <rFont val="Calibri"/>
        <family val="2"/>
        <scheme val="minor"/>
      </rPr>
      <t>,V</t>
    </r>
  </si>
  <si>
    <r>
      <rPr>
        <sz val="11"/>
        <color theme="1"/>
        <rFont val="Calibri"/>
        <family val="2"/>
      </rPr>
      <t>ψ</t>
    </r>
    <r>
      <rPr>
        <vertAlign val="subscript"/>
        <sz val="11"/>
        <color theme="1"/>
        <rFont val="Calibri"/>
        <family val="2"/>
      </rPr>
      <t>re</t>
    </r>
    <r>
      <rPr>
        <vertAlign val="subscript"/>
        <sz val="11"/>
        <color theme="1"/>
        <rFont val="Calibri"/>
        <family val="2"/>
        <scheme val="minor"/>
      </rPr>
      <t>,V</t>
    </r>
  </si>
  <si>
    <t>V2</t>
  </si>
  <si>
    <t>V3</t>
  </si>
  <si>
    <t>( N )</t>
  </si>
  <si>
    <t>( - )</t>
  </si>
  <si>
    <t>( rad )</t>
  </si>
  <si>
    <r>
      <t>(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)</t>
    </r>
  </si>
  <si>
    <r>
      <t>( mm</t>
    </r>
    <r>
      <rPr>
        <sz val="11"/>
        <color theme="1"/>
        <rFont val="Calibri"/>
        <family val="2"/>
        <scheme val="minor"/>
      </rPr>
      <t xml:space="preserve"> )</t>
    </r>
  </si>
  <si>
    <r>
      <t>V</t>
    </r>
    <r>
      <rPr>
        <vertAlign val="subscript"/>
        <sz val="11"/>
        <color theme="1"/>
        <rFont val="Calibri"/>
        <family val="2"/>
        <scheme val="minor"/>
      </rPr>
      <t>Rk,c</t>
    </r>
  </si>
  <si>
    <r>
      <t>V</t>
    </r>
    <r>
      <rPr>
        <vertAlign val="subscript"/>
        <sz val="11"/>
        <color theme="1"/>
        <rFont val="Calibri"/>
        <family val="2"/>
        <scheme val="minor"/>
      </rPr>
      <t>Rd,c</t>
    </r>
  </si>
  <si>
    <r>
      <t>V</t>
    </r>
    <r>
      <rPr>
        <vertAlign val="subscript"/>
        <sz val="11"/>
        <color theme="1"/>
        <rFont val="Calibri"/>
        <family val="2"/>
        <scheme val="minor"/>
      </rPr>
      <t>Rd,cp</t>
    </r>
  </si>
  <si>
    <r>
      <rPr>
        <sz val="11"/>
        <color theme="1"/>
        <rFont val="Calibri"/>
        <family val="2"/>
      </rPr>
      <t>s</t>
    </r>
    <r>
      <rPr>
        <vertAlign val="subscript"/>
        <sz val="11"/>
        <color theme="1"/>
        <rFont val="Calibri"/>
        <family val="2"/>
        <scheme val="minor"/>
      </rPr>
      <t>cr,Np</t>
    </r>
  </si>
  <si>
    <t>Dati</t>
  </si>
  <si>
    <r>
      <t>(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N/mm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)</t>
    </r>
  </si>
  <si>
    <t>( mm )</t>
  </si>
  <si>
    <t>Concrete edge failure (shear)</t>
  </si>
  <si>
    <t>Concrete pry-out failure (shear)</t>
  </si>
  <si>
    <t>Concrete pull-out failure (tension)</t>
  </si>
  <si>
    <t>Concrete cone failure (tension)</t>
  </si>
  <si>
    <t>Combined tension and shear loads</t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</si>
  <si>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  <scheme val="minor"/>
      </rPr>
      <t>N</t>
    </r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</si>
  <si>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  <scheme val="minor"/>
      </rPr>
      <t>V</t>
    </r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</si>
  <si>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 1</t>
    </r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</si>
  <si>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 1</t>
    </r>
  </si>
  <si>
    <r>
      <rPr>
        <sz val="11"/>
        <color theme="1"/>
        <rFont val="Calibri"/>
        <family val="2"/>
      </rPr>
      <t>β</t>
    </r>
    <r>
      <rPr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+β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 1.2</t>
    </r>
  </si>
  <si>
    <r>
      <rPr>
        <sz val="11"/>
        <color theme="1"/>
        <rFont val="Calibri"/>
        <family val="2"/>
      </rPr>
      <t>(β</t>
    </r>
    <r>
      <rPr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)</t>
    </r>
    <r>
      <rPr>
        <vertAlign val="superscript"/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</rPr>
      <t>+(β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 1</t>
    </r>
  </si>
  <si>
    <t>(high installation safety)</t>
  </si>
  <si>
    <t>(LC1)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</si>
</sst>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Normale" xfId="0" builtinId="0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54"/>
  <sheetViews>
    <sheetView tabSelected="1" workbookViewId="0">
      <selection activeCell="Q6" sqref="Q6"/>
    </sheetView>
  </sheetViews>
  <sheetFormatPr defaultRowHeight="15"/>
  <cols>
    <col min="23" max="23" width="9.140625" customWidth="1"/>
  </cols>
  <sheetData>
    <row r="2" spans="2:25">
      <c r="B2" s="4" t="s">
        <v>58</v>
      </c>
    </row>
    <row r="3" spans="2:25">
      <c r="B3" s="4"/>
    </row>
    <row r="4" spans="2:25" ht="18">
      <c r="B4" s="6" t="s">
        <v>2</v>
      </c>
      <c r="C4" s="6" t="s">
        <v>5</v>
      </c>
      <c r="D4" s="6" t="s">
        <v>11</v>
      </c>
      <c r="E4" s="12" t="s">
        <v>6</v>
      </c>
      <c r="F4" s="12" t="s">
        <v>7</v>
      </c>
      <c r="G4" s="6" t="s">
        <v>4</v>
      </c>
      <c r="H4" s="12" t="s">
        <v>8</v>
      </c>
      <c r="I4" s="12" t="s">
        <v>10</v>
      </c>
      <c r="J4" s="12" t="s">
        <v>9</v>
      </c>
      <c r="K4" s="12" t="s">
        <v>12</v>
      </c>
      <c r="L4" s="12" t="s">
        <v>15</v>
      </c>
    </row>
    <row r="5" spans="2:25" ht="17.25">
      <c r="B5" s="10" t="s">
        <v>59</v>
      </c>
      <c r="C5" s="10" t="s">
        <v>59</v>
      </c>
      <c r="D5" s="10" t="s">
        <v>59</v>
      </c>
      <c r="E5" s="13" t="s">
        <v>50</v>
      </c>
      <c r="F5" s="13" t="s">
        <v>50</v>
      </c>
      <c r="G5" s="13" t="s">
        <v>50</v>
      </c>
      <c r="H5" s="13" t="s">
        <v>50</v>
      </c>
      <c r="I5" s="13" t="s">
        <v>50</v>
      </c>
      <c r="J5" s="13" t="s">
        <v>50</v>
      </c>
      <c r="K5" s="13" t="s">
        <v>60</v>
      </c>
      <c r="L5" s="13" t="s">
        <v>60</v>
      </c>
    </row>
    <row r="6" spans="2:25">
      <c r="B6" s="15">
        <v>25</v>
      </c>
      <c r="C6" s="15">
        <f>0.7*0.3*(B6^(2/3))</f>
        <v>1.795474744010531</v>
      </c>
      <c r="D6" s="15">
        <f>2.25*E6*F6*C6</f>
        <v>4.0398181740236945</v>
      </c>
      <c r="E6" s="15">
        <v>1</v>
      </c>
      <c r="F6" s="15">
        <v>1</v>
      </c>
      <c r="G6" s="15">
        <v>1.35</v>
      </c>
      <c r="H6" s="15">
        <v>1</v>
      </c>
      <c r="I6" s="15">
        <v>1.5</v>
      </c>
      <c r="J6" s="15">
        <f>H6*I6</f>
        <v>1.5</v>
      </c>
      <c r="K6" s="15">
        <v>45</v>
      </c>
      <c r="L6" s="15">
        <v>8</v>
      </c>
    </row>
    <row r="7" spans="2:25">
      <c r="B7" s="6" t="s">
        <v>3</v>
      </c>
      <c r="C7" s="5"/>
      <c r="D7" s="5"/>
      <c r="E7" s="5"/>
      <c r="F7" s="5"/>
      <c r="G7" s="5" t="s">
        <v>73</v>
      </c>
      <c r="H7" s="17" t="s">
        <v>72</v>
      </c>
      <c r="I7" s="17"/>
      <c r="J7" s="17"/>
      <c r="K7" s="5"/>
      <c r="L7" s="5"/>
    </row>
    <row r="8" spans="2:25">
      <c r="B8" s="3"/>
      <c r="H8" s="3"/>
      <c r="I8" s="3"/>
      <c r="J8" s="3"/>
    </row>
    <row r="10" spans="2:25">
      <c r="B10" s="4" t="s">
        <v>61</v>
      </c>
      <c r="C10" s="4"/>
      <c r="D10" s="4"/>
    </row>
    <row r="12" spans="2:25" ht="18">
      <c r="B12" s="5" t="s">
        <v>47</v>
      </c>
      <c r="C12" s="5" t="s">
        <v>48</v>
      </c>
      <c r="D12" s="5" t="s">
        <v>0</v>
      </c>
      <c r="E12" s="6" t="s">
        <v>32</v>
      </c>
      <c r="F12" s="6" t="s">
        <v>42</v>
      </c>
      <c r="G12" s="6" t="s">
        <v>43</v>
      </c>
      <c r="H12" s="6" t="s">
        <v>44</v>
      </c>
      <c r="I12" s="6" t="s">
        <v>45</v>
      </c>
      <c r="J12" s="6" t="s">
        <v>46</v>
      </c>
      <c r="K12" s="6" t="s">
        <v>39</v>
      </c>
      <c r="L12" s="6" t="s">
        <v>40</v>
      </c>
      <c r="M12" s="6" t="s">
        <v>38</v>
      </c>
      <c r="N12" s="6" t="s">
        <v>35</v>
      </c>
      <c r="O12" s="7" t="s">
        <v>36</v>
      </c>
      <c r="P12" s="7" t="s">
        <v>37</v>
      </c>
      <c r="Q12" s="6" t="s">
        <v>34</v>
      </c>
      <c r="R12" s="6" t="s">
        <v>41</v>
      </c>
      <c r="S12" s="6" t="s">
        <v>33</v>
      </c>
      <c r="T12" s="6" t="s">
        <v>54</v>
      </c>
      <c r="U12" s="6" t="s">
        <v>55</v>
      </c>
      <c r="V12" s="6" t="s">
        <v>27</v>
      </c>
      <c r="Y12" s="6" t="s">
        <v>67</v>
      </c>
    </row>
    <row r="13" spans="2:25" ht="17.25">
      <c r="B13" s="10" t="s">
        <v>49</v>
      </c>
      <c r="C13" s="10" t="s">
        <v>49</v>
      </c>
      <c r="D13" s="10" t="s">
        <v>49</v>
      </c>
      <c r="E13" s="10" t="s">
        <v>50</v>
      </c>
      <c r="F13" s="10" t="s">
        <v>50</v>
      </c>
      <c r="G13" s="10" t="s">
        <v>51</v>
      </c>
      <c r="H13" s="10" t="s">
        <v>50</v>
      </c>
      <c r="I13" s="10" t="s">
        <v>50</v>
      </c>
      <c r="J13" s="10" t="s">
        <v>50</v>
      </c>
      <c r="K13" s="10" t="s">
        <v>52</v>
      </c>
      <c r="L13" s="10" t="s">
        <v>52</v>
      </c>
      <c r="M13" s="10" t="s">
        <v>50</v>
      </c>
      <c r="N13" s="10" t="s">
        <v>50</v>
      </c>
      <c r="O13" s="10" t="s">
        <v>50</v>
      </c>
      <c r="P13" s="10" t="s">
        <v>50</v>
      </c>
      <c r="Q13" s="10" t="s">
        <v>53</v>
      </c>
      <c r="R13" s="10" t="s">
        <v>53</v>
      </c>
      <c r="S13" s="10" t="s">
        <v>49</v>
      </c>
      <c r="T13" s="10" t="s">
        <v>49</v>
      </c>
      <c r="U13" s="10" t="s">
        <v>49</v>
      </c>
      <c r="V13" s="10" t="s">
        <v>49</v>
      </c>
      <c r="W13" s="1"/>
      <c r="X13" s="1"/>
      <c r="Y13" s="10" t="s">
        <v>50</v>
      </c>
    </row>
    <row r="14" spans="2:25">
      <c r="B14" s="8">
        <v>743.8</v>
      </c>
      <c r="C14" s="8">
        <v>1170.3</v>
      </c>
      <c r="D14" s="8">
        <v>1085.0999999999999</v>
      </c>
      <c r="E14" s="8">
        <v>1</v>
      </c>
      <c r="F14" s="8">
        <f>SQRT(1.5*Q14/R14)</f>
        <v>1.3416407864998738</v>
      </c>
      <c r="G14" s="9">
        <f>ATAN(ABS(B14)/ABS(C14))</f>
        <v>0.56615952416869186</v>
      </c>
      <c r="H14" s="9">
        <f>SQRT(1/((COS(G14))^2+(SIN(G14)/2.5)^2))</f>
        <v>1.1483518240945982</v>
      </c>
      <c r="I14" s="9">
        <v>1</v>
      </c>
      <c r="J14" s="9">
        <v>1</v>
      </c>
      <c r="K14" s="9">
        <f t="shared" ref="K14:K16" si="0">(1.5*Q14)*(3*Q14)</f>
        <v>16200</v>
      </c>
      <c r="L14" s="9">
        <f t="shared" ref="L14:L16" si="1">(3*Q14)*R14</f>
        <v>9000</v>
      </c>
      <c r="M14" s="8">
        <f t="shared" ref="M14:M16" si="2">L14/K14</f>
        <v>0.55555555555555558</v>
      </c>
      <c r="N14" s="9">
        <v>1.7</v>
      </c>
      <c r="O14" s="9">
        <f>0.1*($K$6/Q14)^0.5</f>
        <v>8.6602540378443865E-2</v>
      </c>
      <c r="P14" s="9">
        <f>0.1*($L$6/Q14)^0.2</f>
        <v>6.6832506195826896E-2</v>
      </c>
      <c r="Q14" s="9">
        <v>60</v>
      </c>
      <c r="R14" s="8">
        <v>50</v>
      </c>
      <c r="S14" s="8">
        <f>N14*($L$6^O14)*($K$6^P14)*SQRT($B$6/0.83)*(Q14^1.5)</f>
        <v>6695.8386167392746</v>
      </c>
      <c r="T14" s="9">
        <f t="shared" ref="T14:T16" si="3">S14*M14*E14*F14*H14*I14</f>
        <v>5731.1752644576609</v>
      </c>
      <c r="U14" s="9">
        <f>T14/$G$6/$J$6</f>
        <v>2830.2100071395853</v>
      </c>
      <c r="V14" s="9">
        <f t="shared" ref="V14:V16" si="4">SQRT(B14^2+C14^2)</f>
        <v>1386.665255207615</v>
      </c>
      <c r="W14" s="16" t="str">
        <f t="shared" ref="W14:W16" si="5">IF(U14&gt;=V14,"VERIFICATO","NON VERIFICATO")</f>
        <v>VERIFICATO</v>
      </c>
      <c r="X14" s="16"/>
      <c r="Y14" s="9">
        <f t="shared" ref="Y14:Y16" si="6">V14/U14</f>
        <v>0.48995136463709954</v>
      </c>
    </row>
    <row r="15" spans="2:25">
      <c r="B15" s="8">
        <v>22.7</v>
      </c>
      <c r="C15" s="8">
        <v>1601.1</v>
      </c>
      <c r="D15" s="8">
        <v>1344.6</v>
      </c>
      <c r="E15" s="8">
        <v>1</v>
      </c>
      <c r="F15" s="8">
        <f t="shared" ref="F15:F16" si="7">SQRT(1.5*Q15/R15)</f>
        <v>1.3416407864998738</v>
      </c>
      <c r="G15" s="9">
        <f>ATAN(ABS(B15)/ABS(C15))</f>
        <v>1.4176802959074629E-2</v>
      </c>
      <c r="H15" s="9">
        <f>SQRT(1/((COS(G15))^2+(SIN(G15)/2.5)^2))</f>
        <v>1.0000844173649723</v>
      </c>
      <c r="I15" s="9">
        <v>1</v>
      </c>
      <c r="J15" s="9">
        <v>1</v>
      </c>
      <c r="K15" s="9">
        <f t="shared" si="0"/>
        <v>16200</v>
      </c>
      <c r="L15" s="9">
        <f t="shared" si="1"/>
        <v>9000</v>
      </c>
      <c r="M15" s="8">
        <f t="shared" si="2"/>
        <v>0.55555555555555558</v>
      </c>
      <c r="N15" s="9">
        <v>1.7</v>
      </c>
      <c r="O15" s="9">
        <f>0.1*($K$6/Q15)^0.5</f>
        <v>8.6602540378443865E-2</v>
      </c>
      <c r="P15" s="9">
        <f>0.1*($L$6/Q15)^0.2</f>
        <v>6.6832506195826896E-2</v>
      </c>
      <c r="Q15" s="9">
        <v>60</v>
      </c>
      <c r="R15" s="8">
        <v>50</v>
      </c>
      <c r="S15" s="8">
        <f>N15*($L$6^O15)*($K$6^P15)*SQRT($B$6/0.83)*(Q15^1.5)</f>
        <v>6695.8386167392746</v>
      </c>
      <c r="T15" s="9">
        <f t="shared" si="3"/>
        <v>4991.2047465860269</v>
      </c>
      <c r="U15" s="9">
        <f>T15/$G$6/$J$6</f>
        <v>2464.7924674498895</v>
      </c>
      <c r="V15" s="9">
        <f t="shared" si="4"/>
        <v>1601.2609094085822</v>
      </c>
      <c r="W15" s="16" t="str">
        <f t="shared" si="5"/>
        <v>VERIFICATO</v>
      </c>
      <c r="X15" s="16"/>
      <c r="Y15" s="9">
        <f t="shared" si="6"/>
        <v>0.64965344164057359</v>
      </c>
    </row>
    <row r="16" spans="2:25">
      <c r="B16" s="8">
        <v>1934.1</v>
      </c>
      <c r="C16" s="8">
        <v>381.4</v>
      </c>
      <c r="D16" s="8">
        <v>2428.1999999999998</v>
      </c>
      <c r="E16" s="8">
        <v>1</v>
      </c>
      <c r="F16" s="8">
        <f t="shared" si="7"/>
        <v>1.3416407864998738</v>
      </c>
      <c r="G16" s="9">
        <f>ATAN(ABS(B16)/ABS(C16))</f>
        <v>1.3760967681330387</v>
      </c>
      <c r="H16" s="9">
        <f>SQRT(1/((COS(G16))^2+(SIN(G16)/2.5)^2))</f>
        <v>2.2854989682317193</v>
      </c>
      <c r="I16" s="9">
        <v>1</v>
      </c>
      <c r="J16" s="9">
        <v>1</v>
      </c>
      <c r="K16" s="9">
        <f t="shared" si="0"/>
        <v>16200</v>
      </c>
      <c r="L16" s="9">
        <f t="shared" si="1"/>
        <v>9000</v>
      </c>
      <c r="M16" s="8">
        <f t="shared" si="2"/>
        <v>0.55555555555555558</v>
      </c>
      <c r="N16" s="9">
        <v>1.7</v>
      </c>
      <c r="O16" s="9">
        <f>0.1*($K$6/Q16)^0.5</f>
        <v>8.6602540378443865E-2</v>
      </c>
      <c r="P16" s="9">
        <f>0.1*($L$6/Q16)^0.2</f>
        <v>6.6832506195826896E-2</v>
      </c>
      <c r="Q16" s="9">
        <v>60</v>
      </c>
      <c r="R16" s="8">
        <v>50</v>
      </c>
      <c r="S16" s="8">
        <f>N16*($L$6^O16)*($K$6^P16)*SQRT($B$6/0.83)*(Q16^1.5)</f>
        <v>6695.8386167392746</v>
      </c>
      <c r="T16" s="9">
        <f t="shared" si="3"/>
        <v>11406.430397757706</v>
      </c>
      <c r="U16" s="9">
        <f>T16/$G$6/$J$6</f>
        <v>5632.8051346951625</v>
      </c>
      <c r="V16" s="9">
        <f t="shared" si="4"/>
        <v>1971.3469430823179</v>
      </c>
      <c r="W16" s="16" t="str">
        <f t="shared" si="5"/>
        <v>VERIFICATO</v>
      </c>
      <c r="X16" s="16"/>
      <c r="Y16" s="9">
        <f t="shared" si="6"/>
        <v>0.34997605916452562</v>
      </c>
    </row>
    <row r="19" spans="2:20">
      <c r="B19" s="4" t="s">
        <v>62</v>
      </c>
      <c r="C19" s="4"/>
      <c r="D19" s="4"/>
    </row>
    <row r="21" spans="2:20" ht="18">
      <c r="B21" s="5" t="s">
        <v>47</v>
      </c>
      <c r="C21" s="5" t="s">
        <v>48</v>
      </c>
      <c r="D21" s="5" t="s">
        <v>0</v>
      </c>
      <c r="E21" s="5" t="s">
        <v>31</v>
      </c>
      <c r="F21" s="2" t="s">
        <v>29</v>
      </c>
      <c r="G21" s="2" t="s">
        <v>30</v>
      </c>
      <c r="H21" s="6" t="s">
        <v>28</v>
      </c>
      <c r="I21" s="6" t="s">
        <v>56</v>
      </c>
      <c r="J21" s="6" t="s">
        <v>27</v>
      </c>
      <c r="M21" s="6" t="s">
        <v>67</v>
      </c>
    </row>
    <row r="22" spans="2:20">
      <c r="B22" s="10" t="s">
        <v>49</v>
      </c>
      <c r="C22" s="10" t="s">
        <v>49</v>
      </c>
      <c r="D22" s="10" t="s">
        <v>49</v>
      </c>
      <c r="E22" s="10" t="s">
        <v>50</v>
      </c>
      <c r="F22" s="10" t="s">
        <v>49</v>
      </c>
      <c r="G22" s="10" t="s">
        <v>49</v>
      </c>
      <c r="H22" s="10" t="s">
        <v>49</v>
      </c>
      <c r="I22" s="10" t="s">
        <v>49</v>
      </c>
      <c r="J22" s="10" t="s">
        <v>49</v>
      </c>
      <c r="K22" s="1"/>
      <c r="L22" s="1"/>
      <c r="M22" s="10" t="s">
        <v>50</v>
      </c>
    </row>
    <row r="23" spans="2:20">
      <c r="B23" s="9">
        <f t="shared" ref="B23:D23" si="8">B14</f>
        <v>743.8</v>
      </c>
      <c r="C23" s="9">
        <f t="shared" si="8"/>
        <v>1170.3</v>
      </c>
      <c r="D23" s="9">
        <f t="shared" si="8"/>
        <v>1085.0999999999999</v>
      </c>
      <c r="E23" s="9">
        <v>1</v>
      </c>
      <c r="F23" s="8">
        <f>E23*N41</f>
        <v>7895.3864371363634</v>
      </c>
      <c r="G23" s="8">
        <f>E23*O32</f>
        <v>4566.610463916385</v>
      </c>
      <c r="H23" s="9">
        <f>MIN(F23,G23)</f>
        <v>4566.610463916385</v>
      </c>
      <c r="I23" s="9">
        <f>H23/$G$6/$J$6</f>
        <v>2255.1162784772273</v>
      </c>
      <c r="J23" s="9">
        <f t="shared" ref="J23:J25" si="9">SQRT(B23^2+C23^2)</f>
        <v>1386.665255207615</v>
      </c>
      <c r="K23" s="16" t="str">
        <f t="shared" ref="K23:K25" si="10">IF(I23&gt;=J23,"VERIFICATO","NON VERIFICATO")</f>
        <v>VERIFICATO</v>
      </c>
      <c r="L23" s="16"/>
      <c r="M23" s="9">
        <f t="shared" ref="M23:M25" si="11">J23/I23</f>
        <v>0.6148974527131541</v>
      </c>
    </row>
    <row r="24" spans="2:20">
      <c r="B24" s="9">
        <f t="shared" ref="B24:D25" si="12">B15</f>
        <v>22.7</v>
      </c>
      <c r="C24" s="9">
        <f t="shared" si="12"/>
        <v>1601.1</v>
      </c>
      <c r="D24" s="9">
        <f t="shared" si="12"/>
        <v>1344.6</v>
      </c>
      <c r="E24" s="9">
        <v>1</v>
      </c>
      <c r="F24" s="8">
        <f>E24*N42</f>
        <v>7895.3864371363634</v>
      </c>
      <c r="G24" s="8">
        <f>E24*O33</f>
        <v>4566.610463916385</v>
      </c>
      <c r="H24" s="9">
        <f>MIN(F24,G24)</f>
        <v>4566.610463916385</v>
      </c>
      <c r="I24" s="9">
        <f>H24/$G$6/$J$6</f>
        <v>2255.1162784772273</v>
      </c>
      <c r="J24" s="9">
        <f t="shared" si="9"/>
        <v>1601.2609094085822</v>
      </c>
      <c r="K24" s="16" t="str">
        <f t="shared" si="10"/>
        <v>VERIFICATO</v>
      </c>
      <c r="L24" s="16"/>
      <c r="M24" s="9">
        <f t="shared" si="11"/>
        <v>0.71005691577457697</v>
      </c>
    </row>
    <row r="25" spans="2:20">
      <c r="B25" s="9">
        <f t="shared" si="12"/>
        <v>1934.1</v>
      </c>
      <c r="C25" s="9">
        <f t="shared" si="12"/>
        <v>381.4</v>
      </c>
      <c r="D25" s="9">
        <f t="shared" si="12"/>
        <v>2428.1999999999998</v>
      </c>
      <c r="E25" s="9">
        <v>1</v>
      </c>
      <c r="F25" s="8">
        <f>E25*N43</f>
        <v>7895.3864371363634</v>
      </c>
      <c r="G25" s="8">
        <f>E25*O34</f>
        <v>4566.610463916385</v>
      </c>
      <c r="H25" s="9">
        <f>MIN(F25,G25)</f>
        <v>4566.610463916385</v>
      </c>
      <c r="I25" s="9">
        <f>H25/$G$6/$J$6</f>
        <v>2255.1162784772273</v>
      </c>
      <c r="J25" s="9">
        <f t="shared" si="9"/>
        <v>1971.3469430823179</v>
      </c>
      <c r="K25" s="16" t="str">
        <f t="shared" si="10"/>
        <v>VERIFICATO</v>
      </c>
      <c r="L25" s="16"/>
      <c r="M25" s="9">
        <f t="shared" si="11"/>
        <v>0.87416642853266735</v>
      </c>
    </row>
    <row r="28" spans="2:20">
      <c r="B28" s="4" t="s">
        <v>63</v>
      </c>
      <c r="C28" s="4"/>
      <c r="D28" s="4"/>
    </row>
    <row r="30" spans="2:20" ht="18">
      <c r="B30" s="5" t="s">
        <v>47</v>
      </c>
      <c r="C30" s="5" t="s">
        <v>48</v>
      </c>
      <c r="D30" s="5" t="s">
        <v>0</v>
      </c>
      <c r="E30" s="2" t="s">
        <v>16</v>
      </c>
      <c r="F30" s="2" t="s">
        <v>17</v>
      </c>
      <c r="G30" s="2" t="s">
        <v>18</v>
      </c>
      <c r="H30" s="2" t="s">
        <v>19</v>
      </c>
      <c r="I30" s="6" t="s">
        <v>57</v>
      </c>
      <c r="J30" s="6" t="s">
        <v>34</v>
      </c>
      <c r="K30" s="6" t="s">
        <v>39</v>
      </c>
      <c r="L30" s="6" t="s">
        <v>40</v>
      </c>
      <c r="M30" s="6" t="s">
        <v>38</v>
      </c>
      <c r="N30" s="6" t="s">
        <v>14</v>
      </c>
      <c r="O30" s="6" t="s">
        <v>13</v>
      </c>
      <c r="P30" s="6" t="s">
        <v>25</v>
      </c>
      <c r="Q30" s="6" t="s">
        <v>1</v>
      </c>
      <c r="T30" s="6" t="s">
        <v>66</v>
      </c>
    </row>
    <row r="31" spans="2:20" ht="17.25">
      <c r="B31" s="10" t="s">
        <v>49</v>
      </c>
      <c r="C31" s="10" t="s">
        <v>49</v>
      </c>
      <c r="D31" s="10" t="s">
        <v>49</v>
      </c>
      <c r="E31" s="10" t="s">
        <v>50</v>
      </c>
      <c r="F31" s="10" t="s">
        <v>50</v>
      </c>
      <c r="G31" s="10" t="s">
        <v>50</v>
      </c>
      <c r="H31" s="10" t="s">
        <v>50</v>
      </c>
      <c r="I31" s="10" t="s">
        <v>53</v>
      </c>
      <c r="J31" s="10" t="s">
        <v>53</v>
      </c>
      <c r="K31" s="10" t="s">
        <v>52</v>
      </c>
      <c r="L31" s="10" t="s">
        <v>52</v>
      </c>
      <c r="M31" s="10" t="s">
        <v>50</v>
      </c>
      <c r="N31" s="10" t="s">
        <v>49</v>
      </c>
      <c r="O31" s="10" t="s">
        <v>49</v>
      </c>
      <c r="P31" s="10" t="s">
        <v>49</v>
      </c>
      <c r="Q31" s="10" t="s">
        <v>49</v>
      </c>
      <c r="R31" s="1"/>
      <c r="S31" s="1"/>
      <c r="T31" s="10" t="s">
        <v>50</v>
      </c>
    </row>
    <row r="32" spans="2:20">
      <c r="B32" s="9">
        <f t="shared" ref="B32:D32" si="13">B23</f>
        <v>743.8</v>
      </c>
      <c r="C32" s="9">
        <f t="shared" si="13"/>
        <v>1170.3</v>
      </c>
      <c r="D32" s="9">
        <f t="shared" si="13"/>
        <v>1085.0999999999999</v>
      </c>
      <c r="E32" s="9">
        <v>1</v>
      </c>
      <c r="F32" s="9">
        <v>1</v>
      </c>
      <c r="G32" s="9">
        <v>1</v>
      </c>
      <c r="H32" s="9">
        <v>1</v>
      </c>
      <c r="I32" s="9">
        <f>20*$L$6*(($D$6/7.5)^0.5)</f>
        <v>117.42762040508561</v>
      </c>
      <c r="J32" s="9">
        <f t="shared" ref="J32:J34" si="14">Q14</f>
        <v>60</v>
      </c>
      <c r="K32" s="9">
        <f>I32*I32</f>
        <v>13789.246034000877</v>
      </c>
      <c r="L32" s="9">
        <f t="shared" ref="L32:L34" si="15">K32</f>
        <v>13789.246034000877</v>
      </c>
      <c r="M32" s="8">
        <f t="shared" ref="M32:M34" si="16">L32/K32</f>
        <v>1</v>
      </c>
      <c r="N32" s="8">
        <f>3.14*$L$6*$K$6*$D$6</f>
        <v>4566.610463916385</v>
      </c>
      <c r="O32" s="8">
        <f t="shared" ref="O32:O34" si="17">N32*M32*E32*F32*G32*H32</f>
        <v>4566.610463916385</v>
      </c>
      <c r="P32" s="8">
        <f>O32/$J$6/$G$6</f>
        <v>2255.1162784772273</v>
      </c>
      <c r="Q32" s="9">
        <f>D32/4</f>
        <v>271.27499999999998</v>
      </c>
      <c r="R32" s="16" t="str">
        <f t="shared" ref="R32:R34" si="18">IF(P32&gt;=Q32,"VERIFICATO","NON VERIFICATO")</f>
        <v>VERIFICATO</v>
      </c>
      <c r="S32" s="16"/>
      <c r="T32" s="9">
        <f t="shared" ref="T32:T34" si="19">Q32/P32</f>
        <v>0.12029313192807028</v>
      </c>
    </row>
    <row r="33" spans="2:20">
      <c r="B33" s="9">
        <f t="shared" ref="B33:D33" si="20">B24</f>
        <v>22.7</v>
      </c>
      <c r="C33" s="9">
        <f t="shared" si="20"/>
        <v>1601.1</v>
      </c>
      <c r="D33" s="9">
        <f t="shared" si="20"/>
        <v>1344.6</v>
      </c>
      <c r="E33" s="9">
        <v>1</v>
      </c>
      <c r="F33" s="9">
        <v>1</v>
      </c>
      <c r="G33" s="9">
        <v>1</v>
      </c>
      <c r="H33" s="9">
        <v>1</v>
      </c>
      <c r="I33" s="9">
        <f>20*$L$6*(($D$6/7.5)^0.5)</f>
        <v>117.42762040508561</v>
      </c>
      <c r="J33" s="9">
        <f t="shared" si="14"/>
        <v>60</v>
      </c>
      <c r="K33" s="9">
        <f>I33*I33</f>
        <v>13789.246034000877</v>
      </c>
      <c r="L33" s="9">
        <f t="shared" si="15"/>
        <v>13789.246034000877</v>
      </c>
      <c r="M33" s="8">
        <f t="shared" si="16"/>
        <v>1</v>
      </c>
      <c r="N33" s="8">
        <f>3.14*$L$6*$K$6*$D$6</f>
        <v>4566.610463916385</v>
      </c>
      <c r="O33" s="8">
        <f t="shared" si="17"/>
        <v>4566.610463916385</v>
      </c>
      <c r="P33" s="8">
        <f>O33/$J$6/$G$6</f>
        <v>2255.1162784772273</v>
      </c>
      <c r="Q33" s="9">
        <f t="shared" ref="Q33:Q34" si="21">D33/4</f>
        <v>336.15</v>
      </c>
      <c r="R33" s="16" t="str">
        <f t="shared" si="18"/>
        <v>VERIFICATO</v>
      </c>
      <c r="S33" s="16"/>
      <c r="T33" s="9">
        <f t="shared" si="19"/>
        <v>0.14906104984838567</v>
      </c>
    </row>
    <row r="34" spans="2:20">
      <c r="B34" s="9">
        <f t="shared" ref="B34:D34" si="22">B25</f>
        <v>1934.1</v>
      </c>
      <c r="C34" s="9">
        <f t="shared" si="22"/>
        <v>381.4</v>
      </c>
      <c r="D34" s="9">
        <f t="shared" si="22"/>
        <v>2428.1999999999998</v>
      </c>
      <c r="E34" s="9">
        <v>1</v>
      </c>
      <c r="F34" s="9">
        <v>1</v>
      </c>
      <c r="G34" s="9">
        <v>1</v>
      </c>
      <c r="H34" s="9">
        <v>1</v>
      </c>
      <c r="I34" s="9">
        <f>20*$L$6*(($D$6/7.5)^0.5)</f>
        <v>117.42762040508561</v>
      </c>
      <c r="J34" s="9">
        <f t="shared" si="14"/>
        <v>60</v>
      </c>
      <c r="K34" s="9">
        <f>I34*I34</f>
        <v>13789.246034000877</v>
      </c>
      <c r="L34" s="9">
        <f t="shared" si="15"/>
        <v>13789.246034000877</v>
      </c>
      <c r="M34" s="8">
        <f t="shared" si="16"/>
        <v>1</v>
      </c>
      <c r="N34" s="8">
        <f>3.14*$L$6*$K$6*$D$6</f>
        <v>4566.610463916385</v>
      </c>
      <c r="O34" s="8">
        <f t="shared" si="17"/>
        <v>4566.610463916385</v>
      </c>
      <c r="P34" s="8">
        <f>O34/$J$6/$G$6</f>
        <v>2255.1162784772273</v>
      </c>
      <c r="Q34" s="9">
        <f t="shared" si="21"/>
        <v>607.04999999999995</v>
      </c>
      <c r="R34" s="16" t="str">
        <f t="shared" si="18"/>
        <v>VERIFICATO</v>
      </c>
      <c r="S34" s="16"/>
      <c r="T34" s="9">
        <f t="shared" si="19"/>
        <v>0.26918789323356396</v>
      </c>
    </row>
    <row r="37" spans="2:20">
      <c r="B37" s="4" t="s">
        <v>64</v>
      </c>
      <c r="C37" s="4"/>
      <c r="D37" s="4"/>
    </row>
    <row r="39" spans="2:20" ht="18">
      <c r="B39" s="5" t="s">
        <v>47</v>
      </c>
      <c r="C39" s="5" t="s">
        <v>48</v>
      </c>
      <c r="D39" s="5" t="s">
        <v>0</v>
      </c>
      <c r="E39" s="8" t="s">
        <v>21</v>
      </c>
      <c r="F39" s="8" t="s">
        <v>22</v>
      </c>
      <c r="G39" s="8" t="s">
        <v>23</v>
      </c>
      <c r="H39" s="6" t="s">
        <v>34</v>
      </c>
      <c r="I39" s="6" t="s">
        <v>39</v>
      </c>
      <c r="J39" s="6" t="s">
        <v>40</v>
      </c>
      <c r="K39" s="6" t="s">
        <v>38</v>
      </c>
      <c r="L39" s="6" t="s">
        <v>35</v>
      </c>
      <c r="M39" s="6" t="s">
        <v>24</v>
      </c>
      <c r="N39" s="6" t="s">
        <v>20</v>
      </c>
      <c r="O39" s="6" t="s">
        <v>26</v>
      </c>
      <c r="P39" s="6" t="s">
        <v>1</v>
      </c>
      <c r="S39" s="6" t="s">
        <v>66</v>
      </c>
    </row>
    <row r="40" spans="2:20" ht="17.25">
      <c r="B40" s="10" t="s">
        <v>49</v>
      </c>
      <c r="C40" s="10" t="s">
        <v>49</v>
      </c>
      <c r="D40" s="10" t="s">
        <v>49</v>
      </c>
      <c r="E40" s="11" t="s">
        <v>50</v>
      </c>
      <c r="F40" s="11" t="s">
        <v>50</v>
      </c>
      <c r="G40" s="11" t="s">
        <v>50</v>
      </c>
      <c r="H40" s="10" t="s">
        <v>53</v>
      </c>
      <c r="I40" s="10" t="s">
        <v>52</v>
      </c>
      <c r="J40" s="10" t="s">
        <v>52</v>
      </c>
      <c r="K40" s="10" t="s">
        <v>50</v>
      </c>
      <c r="L40" s="10" t="s">
        <v>50</v>
      </c>
      <c r="M40" s="10" t="s">
        <v>49</v>
      </c>
      <c r="N40" s="10" t="s">
        <v>49</v>
      </c>
      <c r="O40" s="10" t="s">
        <v>49</v>
      </c>
      <c r="P40" s="10" t="s">
        <v>49</v>
      </c>
      <c r="Q40" s="1"/>
      <c r="R40" s="1"/>
      <c r="S40" s="10" t="s">
        <v>50</v>
      </c>
    </row>
    <row r="41" spans="2:20">
      <c r="B41" s="9">
        <f t="shared" ref="B41:D41" si="23">B32</f>
        <v>743.8</v>
      </c>
      <c r="C41" s="9">
        <f t="shared" si="23"/>
        <v>1170.3</v>
      </c>
      <c r="D41" s="9">
        <f t="shared" si="23"/>
        <v>1085.0999999999999</v>
      </c>
      <c r="E41" s="9">
        <f>0.7+0.3*H41/(1.5*$K$6)</f>
        <v>0.96666666666666656</v>
      </c>
      <c r="F41" s="9">
        <f>0.5+$K$6/200</f>
        <v>0.72499999999999998</v>
      </c>
      <c r="G41" s="9">
        <v>1</v>
      </c>
      <c r="H41" s="9">
        <f t="shared" ref="H41:H43" si="24">J32</f>
        <v>60</v>
      </c>
      <c r="I41" s="9">
        <f>(3*$K$6)^2</f>
        <v>18225</v>
      </c>
      <c r="J41" s="9">
        <f>(1.5*$K$6+H41)*(3*$K$6)</f>
        <v>17212.5</v>
      </c>
      <c r="K41" s="9">
        <f t="shared" ref="K41:K43" si="25">J41/I41</f>
        <v>0.94444444444444442</v>
      </c>
      <c r="L41" s="9">
        <v>7.2</v>
      </c>
      <c r="M41" s="8">
        <f>L41*SQRT($B$6/0.83)*($K$6^1.5)</f>
        <v>11928.400856273727</v>
      </c>
      <c r="N41" s="8">
        <f t="shared" ref="N41:N43" si="26">M41*K41*E41*F41*G41</f>
        <v>7895.3864371363634</v>
      </c>
      <c r="O41" s="9">
        <f>N41/$J$6/$G$6</f>
        <v>3898.9562652525251</v>
      </c>
      <c r="P41" s="9">
        <f>D41/4</f>
        <v>271.27499999999998</v>
      </c>
      <c r="Q41" s="16" t="str">
        <f t="shared" ref="Q41:Q43" si="27">IF(O41&gt;=P41,"VERIFICATO","NON VERIFICATO")</f>
        <v>VERIFICATO</v>
      </c>
      <c r="R41" s="16"/>
      <c r="S41" s="9">
        <f t="shared" ref="S41:S43" si="28">P41/O41</f>
        <v>6.9576312619251762E-2</v>
      </c>
    </row>
    <row r="42" spans="2:20">
      <c r="B42" s="9">
        <f t="shared" ref="B42:D42" si="29">B33</f>
        <v>22.7</v>
      </c>
      <c r="C42" s="9">
        <f t="shared" si="29"/>
        <v>1601.1</v>
      </c>
      <c r="D42" s="9">
        <f t="shared" si="29"/>
        <v>1344.6</v>
      </c>
      <c r="E42" s="9">
        <f>0.7+0.3*H42/(1.5*$K$6)</f>
        <v>0.96666666666666656</v>
      </c>
      <c r="F42" s="9">
        <f>0.5+$K$6/200</f>
        <v>0.72499999999999998</v>
      </c>
      <c r="G42" s="9">
        <v>1</v>
      </c>
      <c r="H42" s="9">
        <f t="shared" si="24"/>
        <v>60</v>
      </c>
      <c r="I42" s="9">
        <f>(3*$K$6)^2</f>
        <v>18225</v>
      </c>
      <c r="J42" s="9">
        <f>(1.5*$K$6+H42)*(3*$K$6)</f>
        <v>17212.5</v>
      </c>
      <c r="K42" s="9">
        <f t="shared" si="25"/>
        <v>0.94444444444444442</v>
      </c>
      <c r="L42" s="9">
        <v>7.2</v>
      </c>
      <c r="M42" s="8">
        <f>L42*SQRT($B$6/0.83)*($K$6^1.5)</f>
        <v>11928.400856273727</v>
      </c>
      <c r="N42" s="8">
        <f t="shared" si="26"/>
        <v>7895.3864371363634</v>
      </c>
      <c r="O42" s="9">
        <f>N42/$J$6/$G$6</f>
        <v>3898.9562652525251</v>
      </c>
      <c r="P42" s="9">
        <f t="shared" ref="P42:P43" si="30">D42/4</f>
        <v>336.15</v>
      </c>
      <c r="Q42" s="16" t="str">
        <f t="shared" si="27"/>
        <v>VERIFICATO</v>
      </c>
      <c r="R42" s="16"/>
      <c r="S42" s="9">
        <f t="shared" si="28"/>
        <v>8.6215381022805196E-2</v>
      </c>
    </row>
    <row r="43" spans="2:20">
      <c r="B43" s="9">
        <f t="shared" ref="B43:D43" si="31">B34</f>
        <v>1934.1</v>
      </c>
      <c r="C43" s="9">
        <f t="shared" si="31"/>
        <v>381.4</v>
      </c>
      <c r="D43" s="9">
        <f t="shared" si="31"/>
        <v>2428.1999999999998</v>
      </c>
      <c r="E43" s="9">
        <f>0.7+0.3*H43/(1.5*$K$6)</f>
        <v>0.96666666666666656</v>
      </c>
      <c r="F43" s="9">
        <f>0.5+$K$6/200</f>
        <v>0.72499999999999998</v>
      </c>
      <c r="G43" s="9">
        <v>1</v>
      </c>
      <c r="H43" s="9">
        <f t="shared" si="24"/>
        <v>60</v>
      </c>
      <c r="I43" s="9">
        <f>(3*$K$6)^2</f>
        <v>18225</v>
      </c>
      <c r="J43" s="9">
        <f>(1.5*$K$6+H43)*(3*$K$6)</f>
        <v>17212.5</v>
      </c>
      <c r="K43" s="9">
        <f t="shared" si="25"/>
        <v>0.94444444444444442</v>
      </c>
      <c r="L43" s="9">
        <v>7.2</v>
      </c>
      <c r="M43" s="8">
        <f>L43*SQRT($B$6/0.83)*($K$6^1.5)</f>
        <v>11928.400856273727</v>
      </c>
      <c r="N43" s="8">
        <f t="shared" si="26"/>
        <v>7895.3864371363634</v>
      </c>
      <c r="O43" s="9">
        <f>N43/$J$6/$G$6</f>
        <v>3898.9562652525251</v>
      </c>
      <c r="P43" s="9">
        <f t="shared" si="30"/>
        <v>607.04999999999995</v>
      </c>
      <c r="Q43" s="16" t="str">
        <f t="shared" si="27"/>
        <v>VERIFICATO</v>
      </c>
      <c r="R43" s="16"/>
      <c r="S43" s="9">
        <f t="shared" si="28"/>
        <v>0.15569551405590926</v>
      </c>
    </row>
    <row r="46" spans="2:20">
      <c r="B46" s="4" t="s">
        <v>65</v>
      </c>
    </row>
    <row r="48" spans="2:20" ht="18">
      <c r="B48" s="5" t="s">
        <v>47</v>
      </c>
      <c r="C48" s="5" t="s">
        <v>48</v>
      </c>
      <c r="D48" s="5" t="s">
        <v>0</v>
      </c>
      <c r="E48" s="6" t="s">
        <v>66</v>
      </c>
      <c r="F48" s="6" t="s">
        <v>67</v>
      </c>
      <c r="G48" s="14" t="s">
        <v>36</v>
      </c>
      <c r="H48" s="17" t="s">
        <v>68</v>
      </c>
      <c r="I48" s="17" t="s">
        <v>69</v>
      </c>
      <c r="J48" s="17" t="s">
        <v>70</v>
      </c>
      <c r="K48" s="17"/>
      <c r="L48" s="17" t="s">
        <v>71</v>
      </c>
      <c r="M48" s="17"/>
    </row>
    <row r="49" spans="2:13">
      <c r="B49" s="10" t="s">
        <v>49</v>
      </c>
      <c r="C49" s="10" t="s">
        <v>49</v>
      </c>
      <c r="D49" s="10" t="s">
        <v>49</v>
      </c>
      <c r="E49" s="10" t="s">
        <v>50</v>
      </c>
      <c r="F49" s="10" t="s">
        <v>50</v>
      </c>
      <c r="G49" s="10" t="s">
        <v>50</v>
      </c>
      <c r="H49" s="18"/>
      <c r="I49" s="18"/>
      <c r="J49" s="18"/>
      <c r="K49" s="18"/>
      <c r="L49" s="18"/>
      <c r="M49" s="18"/>
    </row>
    <row r="50" spans="2:13">
      <c r="B50" s="9">
        <f t="shared" ref="B50:D50" si="32">B41</f>
        <v>743.8</v>
      </c>
      <c r="C50" s="9">
        <f t="shared" si="32"/>
        <v>1170.3</v>
      </c>
      <c r="D50" s="9">
        <f t="shared" si="32"/>
        <v>1085.0999999999999</v>
      </c>
      <c r="E50" s="9">
        <f>MAX(T32,S41)</f>
        <v>0.12029313192807028</v>
      </c>
      <c r="F50" s="9">
        <f>MAX(Y14,M23)</f>
        <v>0.6148974527131541</v>
      </c>
      <c r="G50" s="9">
        <v>1.5</v>
      </c>
      <c r="H50" s="9" t="b">
        <f t="shared" ref="H50:I52" si="33">E50&lt;=1</f>
        <v>1</v>
      </c>
      <c r="I50" s="9" t="b">
        <f t="shared" si="33"/>
        <v>1</v>
      </c>
      <c r="J50" s="19" t="b">
        <f>(E50+F50)&lt;=1.2</f>
        <v>1</v>
      </c>
      <c r="K50" s="19"/>
      <c r="L50" s="19" t="b">
        <f>((E50^G50)+(F50^G50))&lt;=1</f>
        <v>1</v>
      </c>
      <c r="M50" s="19"/>
    </row>
    <row r="51" spans="2:13">
      <c r="B51" s="9">
        <f t="shared" ref="B51:D51" si="34">B42</f>
        <v>22.7</v>
      </c>
      <c r="C51" s="9">
        <f t="shared" si="34"/>
        <v>1601.1</v>
      </c>
      <c r="D51" s="9">
        <f t="shared" si="34"/>
        <v>1344.6</v>
      </c>
      <c r="E51" s="9">
        <f>MAX(T33,S42)</f>
        <v>0.14906104984838567</v>
      </c>
      <c r="F51" s="9">
        <f>MAX(Y15,M24)</f>
        <v>0.71005691577457697</v>
      </c>
      <c r="G51" s="9">
        <v>1.5</v>
      </c>
      <c r="H51" s="9" t="b">
        <f t="shared" si="33"/>
        <v>1</v>
      </c>
      <c r="I51" s="9" t="b">
        <f t="shared" si="33"/>
        <v>1</v>
      </c>
      <c r="J51" s="19" t="b">
        <f>(E51+F51)&lt;=1.2</f>
        <v>1</v>
      </c>
      <c r="K51" s="19"/>
      <c r="L51" s="19" t="b">
        <f>((E51^G51)+(F51^G51))&lt;=1</f>
        <v>1</v>
      </c>
      <c r="M51" s="19"/>
    </row>
    <row r="52" spans="2:13">
      <c r="B52" s="9">
        <f t="shared" ref="B52:D52" si="35">B43</f>
        <v>1934.1</v>
      </c>
      <c r="C52" s="9">
        <f t="shared" si="35"/>
        <v>381.4</v>
      </c>
      <c r="D52" s="9">
        <f t="shared" si="35"/>
        <v>2428.1999999999998</v>
      </c>
      <c r="E52" s="9">
        <f>MAX(T34,S43)</f>
        <v>0.26918789323356396</v>
      </c>
      <c r="F52" s="9">
        <f>MAX(Y16,M25)</f>
        <v>0.87416642853266735</v>
      </c>
      <c r="G52" s="9">
        <v>1.5</v>
      </c>
      <c r="H52" s="9" t="b">
        <f t="shared" si="33"/>
        <v>1</v>
      </c>
      <c r="I52" s="9" t="b">
        <f t="shared" si="33"/>
        <v>1</v>
      </c>
      <c r="J52" s="19" t="b">
        <f>(E52+F52)&lt;=1.2</f>
        <v>1</v>
      </c>
      <c r="K52" s="19"/>
      <c r="L52" s="19" t="b">
        <f>((E52^G52)+(F52^G52))&lt;=1</f>
        <v>1</v>
      </c>
      <c r="M52" s="19"/>
    </row>
    <row r="54" spans="2:13">
      <c r="E54" s="20"/>
    </row>
  </sheetData>
  <mergeCells count="23">
    <mergeCell ref="L50:M50"/>
    <mergeCell ref="L51:M51"/>
    <mergeCell ref="L52:M52"/>
    <mergeCell ref="J50:K50"/>
    <mergeCell ref="J51:K51"/>
    <mergeCell ref="J52:K52"/>
    <mergeCell ref="H48:H49"/>
    <mergeCell ref="I48:I49"/>
    <mergeCell ref="J48:K49"/>
    <mergeCell ref="L48:M49"/>
    <mergeCell ref="Q41:R41"/>
    <mergeCell ref="Q42:R42"/>
    <mergeCell ref="Q43:R43"/>
    <mergeCell ref="R33:S33"/>
    <mergeCell ref="R34:S34"/>
    <mergeCell ref="W14:X14"/>
    <mergeCell ref="W15:X15"/>
    <mergeCell ref="W16:X16"/>
    <mergeCell ref="K23:L23"/>
    <mergeCell ref="K24:L24"/>
    <mergeCell ref="K25:L25"/>
    <mergeCell ref="H7:J7"/>
    <mergeCell ref="R32:S32"/>
  </mergeCells>
  <conditionalFormatting sqref="Q41:R43 R32:S34 K23:L25 W14:X16">
    <cfRule type="cellIs" dxfId="4" priority="15" operator="equal">
      <formula>"non verificato"</formula>
    </cfRule>
    <cfRule type="cellIs" dxfId="3" priority="16" operator="equal">
      <formula>"verificato"</formula>
    </cfRule>
  </conditionalFormatting>
  <conditionalFormatting sqref="H50:M52">
    <cfRule type="cellIs" dxfId="2" priority="4" operator="equal">
      <formula>FALSE</formula>
    </cfRule>
    <cfRule type="cellIs" dxfId="1" priority="5" operator="equal">
      <formula>"-"</formula>
    </cfRule>
    <cfRule type="cellIs" dxfId="0" priority="6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tirocinio</dc:creator>
  <cp:lastModifiedBy>tirocinio</cp:lastModifiedBy>
  <dcterms:created xsi:type="dcterms:W3CDTF">2019-02-11T11:54:02Z</dcterms:created>
  <dcterms:modified xsi:type="dcterms:W3CDTF">2019-03-05T08:20:53Z</dcterms:modified>
</cp:coreProperties>
</file>